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cmeubel.sharepoint.com/Gedeelde documenten/Algemeen/subsidies/Vereveningsbijdrage/2022-2023/Bedrijven/"/>
    </mc:Choice>
  </mc:AlternateContent>
  <xr:revisionPtr revIDLastSave="30" documentId="14_{4B7243CD-34B1-4795-88DD-F9377F755088}" xr6:coauthVersionLast="47" xr6:coauthVersionMax="47" xr10:uidLastSave="{1CD4E8F8-7B79-4F52-8AFA-6D42597D6B78}"/>
  <workbookProtection workbookAlgorithmName="SHA-512" workbookHashValue="rp7J+ZXHQ1wGg8/bNaHx5Nivo11hWAssts7xNY6BxHnzExZ0XB4CA43JiYvC5l7tJ5yNkPluzKSwt/G7h7+HGg==" workbookSaltValue="1N/Z9xF6bZFLPEumV/Ns9w==" workbookSpinCount="100000" lockStructure="1"/>
  <bookViews>
    <workbookView xWindow="-108" yWindow="-108" windowWidth="23256" windowHeight="12576" xr2:uid="{00000000-000D-0000-FFFF-FFFF00000000}"/>
  </bookViews>
  <sheets>
    <sheet name="leerlinggegevens" sheetId="2" r:id="rId1"/>
    <sheet name="Loonschaal" sheetId="1" state="hidden" r:id="rId2"/>
    <sheet name="Basisgegevens" sheetId="3" state="hidden" r:id="rId3"/>
  </sheets>
  <definedNames>
    <definedName name="_xlnm.Print_Area" localSheetId="0">leerlinggegevens!$A$1:$R$5</definedName>
    <definedName name="_xlnm.Print_Titles" localSheetId="0">leerlinggegevens!$1:$1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7" i="1"/>
  <c r="I3" i="2"/>
  <c r="I4" i="2"/>
  <c r="I5" i="2"/>
  <c r="L5" i="2" s="1"/>
  <c r="M5" i="2" s="1"/>
  <c r="I2" i="2"/>
  <c r="J3" i="2"/>
  <c r="K3" i="2" s="1"/>
  <c r="Q3" i="2" s="1"/>
  <c r="N3" i="2"/>
  <c r="J4" i="2"/>
  <c r="K4" i="2" s="1"/>
  <c r="Q4" i="2" s="1"/>
  <c r="N4" i="2"/>
  <c r="J5" i="2"/>
  <c r="K5" i="2" s="1"/>
  <c r="N5" i="2"/>
  <c r="J2" i="2"/>
  <c r="K2" i="2" s="1"/>
  <c r="J47" i="1"/>
  <c r="H47" i="1"/>
  <c r="F47" i="1"/>
  <c r="J46" i="1"/>
  <c r="H46" i="1"/>
  <c r="F46" i="1"/>
  <c r="J45" i="1"/>
  <c r="H45" i="1"/>
  <c r="F45" i="1"/>
  <c r="J44" i="1"/>
  <c r="H44" i="1"/>
  <c r="F44" i="1"/>
  <c r="J43" i="1"/>
  <c r="H43" i="1"/>
  <c r="F43" i="1"/>
  <c r="J42" i="1"/>
  <c r="H42" i="1"/>
  <c r="F42" i="1"/>
  <c r="J41" i="1"/>
  <c r="H41" i="1"/>
  <c r="F41" i="1"/>
  <c r="J40" i="1"/>
  <c r="H40" i="1"/>
  <c r="F40" i="1"/>
  <c r="J39" i="1"/>
  <c r="H39" i="1"/>
  <c r="F39" i="1"/>
  <c r="J38" i="1"/>
  <c r="H38" i="1"/>
  <c r="F38" i="1"/>
  <c r="J37" i="1"/>
  <c r="H37" i="1"/>
  <c r="F37" i="1"/>
  <c r="J36" i="1"/>
  <c r="H36" i="1"/>
  <c r="F36" i="1"/>
  <c r="J35" i="1"/>
  <c r="H35" i="1"/>
  <c r="F35" i="1"/>
  <c r="J34" i="1"/>
  <c r="H34" i="1"/>
  <c r="F34" i="1"/>
  <c r="J33" i="1"/>
  <c r="H33" i="1"/>
  <c r="F33" i="1"/>
  <c r="J32" i="1"/>
  <c r="H32" i="1"/>
  <c r="F32" i="1"/>
  <c r="J31" i="1"/>
  <c r="H31" i="1"/>
  <c r="F31" i="1"/>
  <c r="J30" i="1"/>
  <c r="H30" i="1"/>
  <c r="F30" i="1"/>
  <c r="J29" i="1"/>
  <c r="H29" i="1"/>
  <c r="F29" i="1"/>
  <c r="J28" i="1"/>
  <c r="H28" i="1"/>
  <c r="F28" i="1"/>
  <c r="J27" i="1"/>
  <c r="H27" i="1"/>
  <c r="F27" i="1"/>
  <c r="J26" i="1"/>
  <c r="H26" i="1"/>
  <c r="F26" i="1"/>
  <c r="J25" i="1"/>
  <c r="H25" i="1"/>
  <c r="F25" i="1"/>
  <c r="J24" i="1"/>
  <c r="H24" i="1"/>
  <c r="F24" i="1"/>
  <c r="J23" i="1"/>
  <c r="H23" i="1"/>
  <c r="F23" i="1"/>
  <c r="J22" i="1"/>
  <c r="H22" i="1"/>
  <c r="F22" i="1"/>
  <c r="J21" i="1"/>
  <c r="H21" i="1"/>
  <c r="F21" i="1"/>
  <c r="J20" i="1"/>
  <c r="H20" i="1"/>
  <c r="F20" i="1"/>
  <c r="J19" i="1"/>
  <c r="H19" i="1"/>
  <c r="F19" i="1"/>
  <c r="J18" i="1"/>
  <c r="H18" i="1"/>
  <c r="F18" i="1"/>
  <c r="J17" i="1"/>
  <c r="H17" i="1"/>
  <c r="F17" i="1"/>
  <c r="J16" i="1"/>
  <c r="H16" i="1"/>
  <c r="F16" i="1"/>
  <c r="J15" i="1"/>
  <c r="H15" i="1"/>
  <c r="F15" i="1"/>
  <c r="J14" i="1"/>
  <c r="H14" i="1"/>
  <c r="F14" i="1"/>
  <c r="J13" i="1"/>
  <c r="H13" i="1"/>
  <c r="F13" i="1"/>
  <c r="B8" i="1"/>
  <c r="Q5" i="2" l="1"/>
  <c r="L3" i="2"/>
  <c r="M3" i="2" s="1"/>
  <c r="L2" i="2"/>
  <c r="M2" i="2" s="1"/>
  <c r="P5" i="2"/>
  <c r="L4" i="2"/>
  <c r="Q1" i="2"/>
  <c r="P4" i="2" l="1"/>
  <c r="M4" i="2"/>
  <c r="P3" i="2"/>
  <c r="N2" i="2"/>
  <c r="Q2" i="2" s="1"/>
  <c r="P2" i="2" l="1"/>
  <c r="B6" i="3"/>
  <c r="B7" i="3" s="1"/>
  <c r="B8" i="3" s="1"/>
  <c r="AJ4" i="1"/>
  <c r="R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Joost Verbeek | Expertisecentrum Meubel</author>
  </authors>
  <commentList>
    <comment ref="G1" authorId="0" shapeId="0" xr:uid="{00000000-0006-0000-0000-000001000000}">
      <text>
        <r>
          <rPr>
            <sz val="9"/>
            <color indexed="81"/>
            <rFont val="Tahoma"/>
            <family val="2"/>
          </rPr>
          <t>Indien leerling stopt voor einde schooljaar, hier een datum invullen; anders leeg laten</t>
        </r>
      </text>
    </comment>
    <comment ref="K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Joost Verbeek | Expertisecentrum Meubel:
</t>
        </r>
        <r>
          <rPr>
            <sz val="9"/>
            <color indexed="81"/>
            <rFont val="Tahoma"/>
            <family val="2"/>
          </rPr>
          <t>Alleen een vergoeding in leerjaar 1, 2 en 3.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tc={75F8EF43-DB73-4D6D-882D-21523DC9CAED}</author>
    <author>Joost Verbeek | Expertisecentrum Meubel</author>
  </authors>
  <commentList>
    <comment ref="B6" authorId="0" shapeId="0" xr:uid="{75F8EF43-DB73-4D6D-882D-21523DC9CAED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aangepast aan nieuwe bedragen 1-1-2022</t>
      </text>
    </comment>
    <comment ref="B7" authorId="1" shapeId="0" xr:uid="{A6B29012-54D0-4652-ABC3-83B9869AFE65}">
      <text>
        <r>
          <rPr>
            <b/>
            <sz val="9"/>
            <color indexed="81"/>
            <rFont val="Tahoma"/>
            <family val="2"/>
          </rPr>
          <t>Joost Verbeek | Expertisecentrum Meubel:</t>
        </r>
        <r>
          <rPr>
            <sz val="9"/>
            <color indexed="81"/>
            <rFont val="Tahoma"/>
            <family val="2"/>
          </rPr>
          <t xml:space="preserve">
nog aanpassen</t>
        </r>
      </text>
    </comment>
  </commentList>
</comments>
</file>

<file path=xl/sharedStrings.xml><?xml version="1.0" encoding="utf-8"?>
<sst xmlns="http://schemas.openxmlformats.org/spreadsheetml/2006/main" count="44" uniqueCount="35">
  <si>
    <t>per week</t>
  </si>
  <si>
    <t>per uur</t>
  </si>
  <si>
    <t>38,75uur</t>
  </si>
  <si>
    <t>naam</t>
  </si>
  <si>
    <t>geboorte
datum</t>
  </si>
  <si>
    <t>einddatum</t>
  </si>
  <si>
    <t>Totaal</t>
  </si>
  <si>
    <t xml:space="preserve">berekendatum </t>
  </si>
  <si>
    <t>instroomdatum</t>
  </si>
  <si>
    <t>leerjaar</t>
  </si>
  <si>
    <t>leeftijd 
1 januari</t>
  </si>
  <si>
    <t>Totaal uit te keren</t>
  </si>
  <si>
    <t>aantal dagen</t>
  </si>
  <si>
    <t>aantal weken</t>
  </si>
  <si>
    <t>aantal weken afgerond</t>
  </si>
  <si>
    <t>loon opzoeken in kolom</t>
  </si>
  <si>
    <t>Voor-
letters</t>
  </si>
  <si>
    <t>Tussen-
vgsl</t>
  </si>
  <si>
    <t>Opslagpercentage</t>
  </si>
  <si>
    <t>loon
gegevens zoeken in kolom</t>
  </si>
  <si>
    <t>aantal te declareren uren</t>
  </si>
  <si>
    <t>begin
datum subsidie 
jaar</t>
  </si>
  <si>
    <t>doorstroomdatum</t>
  </si>
  <si>
    <t>begin
datum opleiding (volgens overeenkomst)</t>
  </si>
  <si>
    <t>Bedrijfsnaam</t>
  </si>
  <si>
    <t>Loonschaal B1 CAO Meubel incl periodieken</t>
  </si>
  <si>
    <t>voor realisatie</t>
  </si>
  <si>
    <t>periodiek</t>
  </si>
  <si>
    <t>leeftijd 
op 1-1</t>
  </si>
  <si>
    <t>1 januari 2023</t>
  </si>
  <si>
    <t xml:space="preserve">einddatum moet liggen na </t>
  </si>
  <si>
    <t>verzuim (alleen schooldagen, dus geen school-vakanties)
in dagdelen</t>
  </si>
  <si>
    <t>einddatum (als leerling opleiding nog niet heeft afgerond, dan de datum die 1 jaar na begindatum ligt, invoeren)</t>
  </si>
  <si>
    <t>Berekend aantal
weken (max 48)</t>
  </si>
  <si>
    <t>Wilt u per leerling alle groene vakken hierboven invullen.
De grijze en oranje gegevensvelden worden automatisch berekend zodra de cellen E, F en G zijn ingevuld. 
Krijgt u in het portal een foutmelding bij het invoeren, voer dan de einddatum 1 januari in!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</si>
</sst>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;@"/>
    <numFmt numFmtId="165" formatCode="&quot;€&quot;\ #,##0.0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theme="0" tint="-0.14996795556505021"/>
      </right>
      <top style="thick">
        <color auto="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auto="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thick">
        <color auto="1"/>
      </top>
      <bottom/>
      <diagonal/>
    </border>
    <border>
      <left style="thick">
        <color auto="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ck">
        <color auto="1"/>
      </left>
      <right style="medium">
        <color theme="0" tint="-0.14996795556505021"/>
      </right>
      <top style="medium">
        <color theme="0" tint="-0.14996795556505021"/>
      </top>
      <bottom style="thick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auto="1"/>
      </top>
      <bottom/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3" applyNumberFormat="0" applyAlignment="0" applyProtection="0"/>
    <xf numFmtId="0" fontId="5" fillId="0" borderId="0"/>
  </cellStyleXfs>
  <cellXfs count="80">
    <xf numFmtId="0" fontId="0" fillId="0" borderId="0" xfId="0"/>
    <xf numFmtId="2" fontId="0" fillId="0" borderId="0" xfId="0" applyNumberFormat="1"/>
    <xf numFmtId="0" fontId="0" fillId="0" borderId="4" xfId="0" applyBorder="1"/>
    <xf numFmtId="14" fontId="3" fillId="4" borderId="5" xfId="3" applyNumberFormat="1" applyFill="1" applyBorder="1" applyProtection="1">
      <protection hidden="1"/>
    </xf>
    <xf numFmtId="0" fontId="6" fillId="4" borderId="5" xfId="2" applyNumberFormat="1" applyFont="1" applyFill="1" applyBorder="1" applyProtection="1">
      <protection hidden="1"/>
    </xf>
    <xf numFmtId="2" fontId="5" fillId="6" borderId="4" xfId="4" applyNumberFormat="1" applyFill="1" applyBorder="1"/>
    <xf numFmtId="2" fontId="0" fillId="6" borderId="4" xfId="0" applyNumberFormat="1" applyFill="1" applyBorder="1"/>
    <xf numFmtId="15" fontId="0" fillId="0" borderId="0" xfId="0" quotePrefix="1" applyNumberFormat="1"/>
    <xf numFmtId="0" fontId="0" fillId="8" borderId="0" xfId="0" applyFill="1"/>
    <xf numFmtId="1" fontId="3" fillId="7" borderId="5" xfId="3" applyNumberFormat="1" applyFill="1" applyBorder="1" applyProtection="1">
      <protection hidden="1"/>
    </xf>
    <xf numFmtId="2" fontId="3" fillId="7" borderId="5" xfId="3" applyNumberFormat="1" applyFill="1" applyBorder="1" applyProtection="1">
      <protection hidden="1"/>
    </xf>
    <xf numFmtId="166" fontId="3" fillId="7" borderId="5" xfId="3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0" fontId="1" fillId="7" borderId="6" xfId="1" applyFill="1" applyBorder="1" applyAlignment="1">
      <alignment horizontal="center" vertical="center" wrapText="1"/>
    </xf>
    <xf numFmtId="1" fontId="0" fillId="9" borderId="5" xfId="0" applyNumberFormat="1" applyFill="1" applyBorder="1" applyAlignment="1" applyProtection="1">
      <alignment horizontal="right"/>
      <protection locked="0"/>
    </xf>
    <xf numFmtId="49" fontId="0" fillId="9" borderId="5" xfId="0" applyNumberFormat="1" applyFill="1" applyBorder="1" applyProtection="1">
      <protection locked="0"/>
    </xf>
    <xf numFmtId="14" fontId="6" fillId="9" borderId="5" xfId="2" applyNumberFormat="1" applyFont="1" applyFill="1" applyBorder="1" applyProtection="1">
      <protection locked="0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12" xfId="1" applyFill="1" applyBorder="1" applyAlignment="1">
      <alignment horizontal="center" vertical="center" wrapText="1"/>
    </xf>
    <xf numFmtId="0" fontId="1" fillId="8" borderId="12" xfId="1" applyFill="1" applyBorder="1" applyAlignment="1">
      <alignment horizontal="center" vertical="center" wrapText="1"/>
    </xf>
    <xf numFmtId="0" fontId="6" fillId="9" borderId="13" xfId="2" applyFont="1" applyFill="1" applyBorder="1" applyProtection="1">
      <protection locked="0"/>
    </xf>
    <xf numFmtId="0" fontId="6" fillId="9" borderId="14" xfId="2" applyFont="1" applyFill="1" applyBorder="1" applyProtection="1">
      <protection locked="0"/>
    </xf>
    <xf numFmtId="1" fontId="0" fillId="9" borderId="15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5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 wrapText="1"/>
    </xf>
    <xf numFmtId="164" fontId="0" fillId="7" borderId="4" xfId="0" applyNumberFormat="1" applyFill="1" applyBorder="1" applyAlignment="1">
      <alignment horizontal="center"/>
    </xf>
    <xf numFmtId="0" fontId="4" fillId="0" borderId="4" xfId="0" applyFont="1" applyBorder="1"/>
    <xf numFmtId="14" fontId="0" fillId="5" borderId="4" xfId="0" applyNumberFormat="1" applyFill="1" applyBorder="1" applyProtection="1">
      <protection locked="0"/>
    </xf>
    <xf numFmtId="2" fontId="0" fillId="0" borderId="4" xfId="0" applyNumberFormat="1" applyBorder="1"/>
    <xf numFmtId="0" fontId="0" fillId="5" borderId="4" xfId="0" applyFill="1" applyBorder="1" applyProtection="1">
      <protection locked="0"/>
    </xf>
    <xf numFmtId="2" fontId="0" fillId="0" borderId="18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165" fontId="0" fillId="0" borderId="0" xfId="0" applyNumberFormat="1"/>
    <xf numFmtId="0" fontId="1" fillId="0" borderId="22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/>
    </xf>
    <xf numFmtId="164" fontId="1" fillId="0" borderId="22" xfId="1" applyNumberFormat="1" applyBorder="1" applyAlignment="1">
      <alignment horizontal="center" vertical="center" wrapText="1"/>
    </xf>
    <xf numFmtId="0" fontId="1" fillId="8" borderId="22" xfId="1" applyFill="1" applyBorder="1" applyAlignment="1">
      <alignment horizontal="center" vertical="center" wrapText="1"/>
    </xf>
    <xf numFmtId="2" fontId="1" fillId="0" borderId="22" xfId="1" applyNumberFormat="1" applyBorder="1" applyAlignment="1">
      <alignment horizontal="center" vertical="center" wrapText="1"/>
    </xf>
    <xf numFmtId="14" fontId="6" fillId="4" borderId="23" xfId="2" applyNumberFormat="1" applyFont="1" applyFill="1" applyBorder="1" applyProtection="1">
      <protection hidden="1"/>
    </xf>
    <xf numFmtId="14" fontId="3" fillId="4" borderId="24" xfId="3" applyNumberFormat="1" applyFill="1" applyBorder="1" applyProtection="1">
      <protection hidden="1"/>
    </xf>
    <xf numFmtId="0" fontId="6" fillId="4" borderId="24" xfId="2" applyNumberFormat="1" applyFont="1" applyFill="1" applyBorder="1" applyProtection="1">
      <protection hidden="1"/>
    </xf>
    <xf numFmtId="1" fontId="3" fillId="7" borderId="24" xfId="3" applyNumberFormat="1" applyFill="1" applyBorder="1" applyProtection="1">
      <protection hidden="1"/>
    </xf>
    <xf numFmtId="2" fontId="3" fillId="7" borderId="24" xfId="3" applyNumberFormat="1" applyFill="1" applyBorder="1" applyProtection="1">
      <protection hidden="1"/>
    </xf>
    <xf numFmtId="166" fontId="3" fillId="7" borderId="24" xfId="3" applyNumberFormat="1" applyFill="1" applyBorder="1" applyProtection="1">
      <protection hidden="1"/>
    </xf>
    <xf numFmtId="165" fontId="0" fillId="7" borderId="24" xfId="0" applyNumberFormat="1" applyFill="1" applyBorder="1" applyProtection="1">
      <protection hidden="1"/>
    </xf>
    <xf numFmtId="165" fontId="0" fillId="7" borderId="25" xfId="0" applyNumberFormat="1" applyFill="1" applyBorder="1" applyProtection="1">
      <protection hidden="1"/>
    </xf>
    <xf numFmtId="14" fontId="6" fillId="4" borderId="26" xfId="2" applyNumberFormat="1" applyFont="1" applyFill="1" applyBorder="1" applyProtection="1">
      <protection hidden="1"/>
    </xf>
    <xf numFmtId="165" fontId="0" fillId="7" borderId="27" xfId="0" applyNumberFormat="1" applyFill="1" applyBorder="1" applyProtection="1">
      <protection hidden="1"/>
    </xf>
    <xf numFmtId="14" fontId="6" fillId="4" borderId="28" xfId="2" applyNumberFormat="1" applyFont="1" applyFill="1" applyBorder="1" applyProtection="1">
      <protection hidden="1"/>
    </xf>
    <xf numFmtId="14" fontId="3" fillId="4" borderId="29" xfId="3" applyNumberFormat="1" applyFill="1" applyBorder="1" applyProtection="1">
      <protection hidden="1"/>
    </xf>
    <xf numFmtId="0" fontId="6" fillId="4" borderId="29" xfId="2" applyNumberFormat="1" applyFont="1" applyFill="1" applyBorder="1" applyProtection="1">
      <protection hidden="1"/>
    </xf>
    <xf numFmtId="1" fontId="3" fillId="7" borderId="29" xfId="3" applyNumberFormat="1" applyFill="1" applyBorder="1" applyProtection="1">
      <protection hidden="1"/>
    </xf>
    <xf numFmtId="2" fontId="3" fillId="7" borderId="29" xfId="3" applyNumberFormat="1" applyFill="1" applyBorder="1" applyProtection="1">
      <protection hidden="1"/>
    </xf>
    <xf numFmtId="166" fontId="3" fillId="7" borderId="29" xfId="3" applyNumberFormat="1" applyFill="1" applyBorder="1" applyProtection="1">
      <protection hidden="1"/>
    </xf>
    <xf numFmtId="165" fontId="0" fillId="7" borderId="29" xfId="0" applyNumberFormat="1" applyFill="1" applyBorder="1" applyProtection="1">
      <protection hidden="1"/>
    </xf>
    <xf numFmtId="165" fontId="0" fillId="7" borderId="30" xfId="0" applyNumberFormat="1" applyFill="1" applyBorder="1" applyProtection="1">
      <protection hidden="1"/>
    </xf>
    <xf numFmtId="1" fontId="3" fillId="9" borderId="5" xfId="3" applyNumberFormat="1" applyFill="1" applyBorder="1" applyProtection="1">
      <protection locked="0"/>
    </xf>
    <xf numFmtId="49" fontId="0" fillId="9" borderId="15" xfId="0" applyNumberFormat="1" applyFill="1" applyBorder="1" applyProtection="1">
      <protection locked="0"/>
    </xf>
    <xf numFmtId="14" fontId="6" fillId="9" borderId="15" xfId="2" applyNumberFormat="1" applyFont="1" applyFill="1" applyBorder="1" applyProtection="1">
      <protection locked="0"/>
    </xf>
    <xf numFmtId="1" fontId="3" fillId="9" borderId="15" xfId="3" applyNumberFormat="1" applyFill="1" applyBorder="1" applyProtection="1">
      <protection locked="0"/>
    </xf>
    <xf numFmtId="165" fontId="9" fillId="7" borderId="21" xfId="0" applyNumberFormat="1" applyFont="1" applyFill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10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9" borderId="5" xfId="0" applyNumberFormat="1" applyFill="1" applyBorder="1" applyAlignment="1" applyProtection="1">
      <alignment horizontal="right"/>
      <protection locked="0"/>
    </xf>
    <xf numFmtId="49" fontId="0" fillId="9" borderId="5" xfId="0" applyNumberFormat="1" applyFill="1" applyBorder="1" applyProtection="1">
      <protection locked="0"/>
    </xf>
    <xf numFmtId="14" fontId="6" fillId="9" borderId="5" xfId="2" applyNumberFormat="1" applyFont="1" applyFill="1" applyBorder="1" applyProtection="1">
      <protection locked="0"/>
    </xf>
    <xf numFmtId="1" fontId="3" fillId="9" borderId="5" xfId="3" applyNumberFormat="1" applyFill="1" applyBorder="1" applyProtection="1">
      <protection locked="0"/>
    </xf>
    <xf numFmtId="0" fontId="6" fillId="9" borderId="13" xfId="2" applyFont="1" applyFill="1" applyBorder="1" applyProtection="1">
      <protection locked="0"/>
    </xf>
  </cellXfs>
  <cellStyles count="5">
    <cellStyle name="Invoer" xfId="2" builtinId="20"/>
    <cellStyle name="Kop 3" xfId="1" builtinId="18"/>
    <cellStyle name="Standaard" xfId="0" builtinId="0"/>
    <cellStyle name="Standaard 2" xfId="4" xr:uid="{00000000-0005-0000-0000-000003000000}"/>
    <cellStyle name="Uitvoer" xfId="3" builtinId="2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0DD7F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ost Verbeek | Expertisecentrum Meubel" id="{16EDCE6A-DF94-4301-B0E8-033ECB973A39}" userId="S::j.verbeek@ecmeubel.nl::4d058733-b3da-48ed-9f36-a3a796a31e41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5-24T12:46:34.35" personId="{16EDCE6A-DF94-4301-B0E8-033ECB973A39}" id="{75F8EF43-DB73-4D6D-882D-21523DC9CAED}">
    <text>aangepast aan nieuwe bedragen 1-1-2022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25.6640625" customWidth="1"/>
    <col min="2" max="2" width="7.6640625" customWidth="1"/>
    <col min="3" max="3" width="7.44140625" bestFit="1" customWidth="1"/>
    <col min="4" max="4" width="16.44140625" customWidth="1"/>
    <col min="5" max="5" width="10.6640625" bestFit="1" customWidth="1"/>
    <col min="6" max="6" width="14.88671875" bestFit="1" customWidth="1"/>
    <col min="7" max="7" width="19" bestFit="1" customWidth="1"/>
    <col min="8" max="8" width="17.6640625" customWidth="1"/>
    <col min="9" max="9" width="11.33203125" customWidth="1"/>
    <col min="10" max="10" width="10.88671875" customWidth="1"/>
    <col min="11" max="11" width="10" bestFit="1" customWidth="1"/>
    <col min="12" max="12" width="9.44140625" style="8" customWidth="1"/>
    <col min="13" max="13" width="10.5546875" style="1" customWidth="1"/>
    <col min="14" max="14" width="10.88671875" bestFit="1" customWidth="1"/>
    <col min="15" max="15" width="9.5546875" hidden="1" customWidth="1"/>
    <col min="16" max="16" width="10.5546875" bestFit="1" customWidth="1"/>
    <col min="17" max="17" width="9.109375" style="8"/>
    <col min="18" max="18" width="14.6640625" customWidth="1"/>
  </cols>
  <sheetData>
    <row r="1" spans="1:18" ht="102" thickTop="1" thickBot="1" x14ac:dyDescent="0.35">
      <c r="A1" s="17" t="s">
        <v>24</v>
      </c>
      <c r="B1" s="18" t="s">
        <v>16</v>
      </c>
      <c r="C1" s="18" t="s">
        <v>17</v>
      </c>
      <c r="D1" s="19" t="s">
        <v>3</v>
      </c>
      <c r="E1" s="18" t="s">
        <v>4</v>
      </c>
      <c r="F1" s="18" t="s">
        <v>23</v>
      </c>
      <c r="G1" s="18" t="s">
        <v>32</v>
      </c>
      <c r="H1" s="18" t="s">
        <v>31</v>
      </c>
      <c r="I1" s="38" t="s">
        <v>21</v>
      </c>
      <c r="J1" s="39" t="s">
        <v>5</v>
      </c>
      <c r="K1" s="40" t="s">
        <v>9</v>
      </c>
      <c r="L1" s="41" t="s">
        <v>33</v>
      </c>
      <c r="M1" s="42" t="s">
        <v>20</v>
      </c>
      <c r="N1" s="38" t="s">
        <v>10</v>
      </c>
      <c r="O1" s="38" t="s">
        <v>19</v>
      </c>
      <c r="P1" s="20" t="s">
        <v>6</v>
      </c>
      <c r="Q1" s="21" t="str">
        <f>CONCATENATE("uurloon volgens cao op ",Basisgegevens!C1)</f>
        <v>uurloon volgens cao op 1 januari 2023</v>
      </c>
      <c r="R1" s="13" t="s">
        <v>11</v>
      </c>
    </row>
    <row r="2" spans="1:18" ht="26.4" customHeight="1" thickTop="1" thickBot="1" x14ac:dyDescent="0.35">
      <c r="A2" s="79"/>
      <c r="B2" s="75"/>
      <c r="C2" s="75"/>
      <c r="D2" s="76"/>
      <c r="E2" s="77"/>
      <c r="F2" s="77"/>
      <c r="G2" s="77"/>
      <c r="H2" s="78"/>
      <c r="I2" s="43" t="str">
        <f>IF(F2="","",IF(F2&lt;Basisgegevens!$B$2,"0",leerlinggegevens!F2))</f>
        <v/>
      </c>
      <c r="J2" s="44" t="str">
        <f>IF(G2&lt;Basisgegevens!$B$4,"",IF(F2="","",IF(G2&lt;&gt;"",IF(G2&lt;Basisgegevens!$B$5,G2,Basisgegevens!$B$5),Basisgegevens!$B$5)))</f>
        <v/>
      </c>
      <c r="K2" s="45" t="str">
        <f>IF(G2&lt;Basisgegevens!$B$4,"",IF(F2="","",IF(DATEDIF(F2,J2,"D")&lt;396,1,(IF(DATEDIF(F2,J2,"D")&lt;730,2,(IF(DATEDIF(F2,J2,"D")&lt;1095,3,IF(DATEDIF(F2,J2,"D")&lt;1460,4,5))))))))</f>
        <v/>
      </c>
      <c r="L2" s="46" t="str">
        <f>IF(G2&lt;Basisgegevens!$B$4,"",IF(I2&gt;J2,0,MIN(IF(F2="",0,_xlfn.CEILING.PRECISE((DATEDIF(I2,J2,"D")/7))),48)-H2/2))</f>
        <v/>
      </c>
      <c r="M2" s="47" t="str">
        <f>IF(G2&lt;Basisgegevens!$B$4,"",IF(F2="",0,L2*38.75/5))</f>
        <v/>
      </c>
      <c r="N2" s="48">
        <f>ROUND(IF(F2="",0,(DATEDIF(E2,Basisgegevens!$B$1,"D")))/365.25,0)</f>
        <v>0</v>
      </c>
      <c r="O2" s="46">
        <v>2</v>
      </c>
      <c r="P2" s="49" t="str">
        <f>IF(G2&lt;Basisgegevens!$B$4,"",IF(F2="",0,VLOOKUP(N2,Loonschaal!$A$7:$C$47,O2,FALSE)*L2*(1+Basisgegevens!$B$10/100)/5))</f>
        <v/>
      </c>
      <c r="Q2" s="50">
        <f>(IF(F2="",0,(IF(K2&gt;3,0,(VLOOKUP(N2,Loonschaal!$A$7:$C$31,O2,FALSE)))))/38.75)</f>
        <v>0</v>
      </c>
      <c r="R2" s="65">
        <f>SUM(P:P)</f>
        <v>0</v>
      </c>
    </row>
    <row r="3" spans="1:18" ht="26.4" customHeight="1" thickTop="1" thickBot="1" x14ac:dyDescent="0.35">
      <c r="A3" s="22"/>
      <c r="B3" s="14"/>
      <c r="C3" s="14"/>
      <c r="D3" s="15"/>
      <c r="E3" s="16"/>
      <c r="F3" s="16"/>
      <c r="G3" s="16"/>
      <c r="H3" s="61"/>
      <c r="I3" s="51" t="str">
        <f>IF(F3="","",IF(F3&lt;Basisgegevens!$B$2,"0",leerlinggegevens!F3))</f>
        <v/>
      </c>
      <c r="J3" s="3" t="str">
        <f>IF(G3&lt;Basisgegevens!$B$4,"",IF(F3="","",IF(G3&lt;&gt;"",IF(G3&lt;Basisgegevens!$B$5,G3,Basisgegevens!$B$5),Basisgegevens!$B$5)))</f>
        <v/>
      </c>
      <c r="K3" s="4" t="str">
        <f>IF(G3&lt;Basisgegevens!$B$4,"",IF(F3="","",IF(DATEDIF(F3,J3,"D")&lt;396,1,(IF(DATEDIF(F3,J3,"D")&lt;730,2,(IF(DATEDIF(F3,J3,"D")&lt;1095,3,IF(DATEDIF(F3,J3,"D")&lt;1460,4,5))))))))</f>
        <v/>
      </c>
      <c r="L3" s="9" t="str">
        <f>IF(G3&lt;Basisgegevens!$B$4,"",IF(I3&gt;J3,0,MIN(IF(F3="",0,_xlfn.CEILING.PRECISE((DATEDIF(I3,J3,"D")/7))),48)-H3/2))</f>
        <v/>
      </c>
      <c r="M3" s="10" t="str">
        <f>IF(G3&lt;Basisgegevens!$B$4,"",IF(F3="",0,L3*38.75/5))</f>
        <v/>
      </c>
      <c r="N3" s="11">
        <f>ROUND(IF(F3="",0,(DATEDIF(E3,Basisgegevens!$B$1,"D")))/365.25,0)</f>
        <v>0</v>
      </c>
      <c r="O3" s="9">
        <v>2</v>
      </c>
      <c r="P3" s="12" t="str">
        <f>IF(G3&lt;Basisgegevens!$B$4,"",IF(F3="",0,VLOOKUP(N3,Loonschaal!$A$7:$C$47,O3,FALSE)*L3*(1+Basisgegevens!$B$10/100)/5))</f>
        <v/>
      </c>
      <c r="Q3" s="52">
        <f>IF(F3="",0,(IF(K3&gt;3,0,(VLOOKUP(N3,Loonschaal!$A$7:$C$31,O3,FALSE)))))/38.75</f>
        <v>0</v>
      </c>
      <c r="R3" s="66"/>
    </row>
    <row r="4" spans="1:18" ht="26.4" customHeight="1" thickTop="1" thickBot="1" x14ac:dyDescent="0.35">
      <c r="A4" s="22"/>
      <c r="B4" s="14"/>
      <c r="C4" s="14"/>
      <c r="D4" s="15"/>
      <c r="E4" s="16"/>
      <c r="F4" s="16"/>
      <c r="G4" s="16"/>
      <c r="H4" s="61"/>
      <c r="I4" s="51" t="str">
        <f>IF(F4="","",IF(F4&lt;Basisgegevens!$B$2,"0",leerlinggegevens!F4))</f>
        <v/>
      </c>
      <c r="J4" s="3" t="str">
        <f>IF(G4&lt;Basisgegevens!$B$4,"",IF(F4="","",IF(G4&lt;&gt;"",IF(G4&lt;Basisgegevens!$B$5,G4,Basisgegevens!$B$5),Basisgegevens!$B$5)))</f>
        <v/>
      </c>
      <c r="K4" s="4" t="str">
        <f>IF(G4&lt;Basisgegevens!$B$4,"",IF(F4="","",IF(DATEDIF(F4,J4,"D")&lt;396,1,(IF(DATEDIF(F4,J4,"D")&lt;730,2,(IF(DATEDIF(F4,J4,"D")&lt;1095,3,IF(DATEDIF(F4,J4,"D")&lt;1460,4,5))))))))</f>
        <v/>
      </c>
      <c r="L4" s="9" t="str">
        <f>IF(G4&lt;Basisgegevens!$B$4,"",IF(I4&gt;J4,0,MIN(IF(F4="",0,_xlfn.CEILING.PRECISE((DATEDIF(I4,J4,"D")/7))),48)-H4/2))</f>
        <v/>
      </c>
      <c r="M4" s="10" t="str">
        <f>IF(G4&lt;Basisgegevens!$B$4,"",IF(F4="",0,L4*38.75/5))</f>
        <v/>
      </c>
      <c r="N4" s="11">
        <f>ROUND(IF(F4="",0,(DATEDIF(E4,Basisgegevens!$B$1,"D")))/365.25,0)</f>
        <v>0</v>
      </c>
      <c r="O4" s="9">
        <v>2</v>
      </c>
      <c r="P4" s="12" t="str">
        <f>IF(G4&lt;Basisgegevens!$B$4,"",IF(F4="",0,VLOOKUP(N4,Loonschaal!$A$7:$C$47,O4,FALSE)*L4*(1+Basisgegevens!$B$10/100)/5))</f>
        <v/>
      </c>
      <c r="Q4" s="52">
        <f>IF(F4="",0,(IF(K4&gt;3,0,(VLOOKUP(N4,Loonschaal!$A$7:$C$31,O4,FALSE)))))/38.75</f>
        <v>0</v>
      </c>
      <c r="R4" s="66"/>
    </row>
    <row r="5" spans="1:18" ht="26.4" customHeight="1" thickTop="1" thickBot="1" x14ac:dyDescent="0.35">
      <c r="A5" s="23"/>
      <c r="B5" s="24"/>
      <c r="C5" s="24"/>
      <c r="D5" s="62"/>
      <c r="E5" s="63"/>
      <c r="F5" s="63"/>
      <c r="G5" s="63"/>
      <c r="H5" s="64"/>
      <c r="I5" s="53" t="str">
        <f>IF(F5="","",IF(F5&lt;Basisgegevens!$B$2,"0",leerlinggegevens!F5))</f>
        <v/>
      </c>
      <c r="J5" s="54" t="str">
        <f>IF(G5&lt;Basisgegevens!$B$4,"",IF(F5="","",IF(G5&lt;&gt;"",IF(G5&lt;Basisgegevens!$B$5,G5,Basisgegevens!$B$5),Basisgegevens!$B$5)))</f>
        <v/>
      </c>
      <c r="K5" s="55" t="str">
        <f>IF(G5&lt;Basisgegevens!$B$4,"",IF(F5="","",IF(DATEDIF(F5,J5,"D")&lt;396,1,(IF(DATEDIF(F5,J5,"D")&lt;730,2,(IF(DATEDIF(F5,J5,"D")&lt;1095,3,IF(DATEDIF(F5,J5,"D")&lt;1460,4,5))))))))</f>
        <v/>
      </c>
      <c r="L5" s="56" t="str">
        <f>IF(G5&lt;Basisgegevens!$B$4,"",IF(I5&gt;J5,0,MIN(IF(F5="",0,_xlfn.CEILING.PRECISE((DATEDIF(I5,J5,"D")/7))),48)-H5/2))</f>
        <v/>
      </c>
      <c r="M5" s="57" t="str">
        <f>IF(G5&lt;Basisgegevens!$B$4,"",IF(F5="",0,L5*38.75/5))</f>
        <v/>
      </c>
      <c r="N5" s="58">
        <f>ROUND(IF(F5="",0,(DATEDIF(E5,Basisgegevens!$B$1,"D")))/365.25,0)</f>
        <v>0</v>
      </c>
      <c r="O5" s="56">
        <v>2</v>
      </c>
      <c r="P5" s="59" t="str">
        <f>IF(G5&lt;Basisgegevens!$B$4,"",IF(F5="",0,VLOOKUP(N5,Loonschaal!$A$7:$C$47,O5,FALSE)*L5*(1+Basisgegevens!$B$10/100)/5))</f>
        <v/>
      </c>
      <c r="Q5" s="60">
        <f>IF(F5="",0,(IF(K5&gt;3,0,(VLOOKUP(N5,Loonschaal!$A$7:$C$31,O5,FALSE)))))/38.75</f>
        <v>0</v>
      </c>
      <c r="R5" s="66"/>
    </row>
    <row r="6" spans="1:18" ht="15.6" thickTop="1" thickBot="1" x14ac:dyDescent="0.35"/>
    <row r="7" spans="1:18" ht="47.4" customHeight="1" thickBot="1" x14ac:dyDescent="0.35">
      <c r="A7" s="67" t="s">
        <v>34</v>
      </c>
      <c r="B7" s="68"/>
      <c r="C7" s="68"/>
      <c r="D7" s="68"/>
      <c r="E7" s="68"/>
      <c r="F7" s="68"/>
      <c r="G7" s="68"/>
      <c r="H7" s="69"/>
      <c r="O7" s="37"/>
    </row>
  </sheetData>
  <sheetProtection algorithmName="SHA-512" hashValue="98k9EtXJJ1x57SRCVrl5KuuodM8iQ1TtnSrrtCcoxjPhiKpKij2/cDcqELIVgBMl8aFxLMtsNY5UUXFtK6y3sw==" saltValue="hh45cejVHSRLDVkXcfHJGA==" spinCount="100000" sheet="1" formatCells="0" formatColumns="0" formatRows="0" insertColumns="0" insertRows="0" insertHyperlinks="0" deleteColumns="0" deleteRows="0"/>
  <mergeCells count="2">
    <mergeCell ref="R2:R5"/>
    <mergeCell ref="A7:H7"/>
  </mergeCells>
  <conditionalFormatting sqref="A2:A5">
    <cfRule type="expression" dxfId="0" priority="1">
      <formula>#REF!="ongeldig"</formula>
    </cfRule>
  </conditionalFormatting>
  <dataValidations xWindow="470" yWindow="486" count="2">
    <dataValidation type="date" errorStyle="warning" operator="greaterThan" allowBlank="1" showInputMessage="1" showErrorMessage="1" error="Is de datum juist?" sqref="E2:E5" xr:uid="{00000000-0002-0000-0000-000000000000}">
      <formula1>29221</formula1>
    </dataValidation>
    <dataValidation type="whole" errorStyle="warning" allowBlank="1" showInputMessage="1" showErrorMessage="1" error="Er is geen geheel getal ingevoerd" prompt="Voer alleen gehele getallen in" sqref="H2:H5" xr:uid="{00000000-0002-0000-0000-000001000000}">
      <formula1>0</formula1>
      <formula2>96</formula2>
    </dataValidation>
  </dataValidations>
  <pageMargins left="0.31496062992125984" right="0.31496062992125984" top="0.35433070866141736" bottom="0.35433070866141736" header="0" footer="0"/>
  <pageSetup paperSize="9" scale="7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470" yWindow="486" count="5">
        <x14:dataValidation type="date" errorStyle="warning" operator="lessThanOrEqual" allowBlank="1" showInputMessage="1" showErrorMessage="1" error="Is de datum juist?_x000a_" prompt="De datum moet voor de einddatum van het cursusjaar liggen." xr:uid="{00000000-0002-0000-0000-000002000000}">
          <x14:formula1>
            <xm:f>Basisgegevens!B$5</xm:f>
          </x14:formula1>
          <xm:sqref>F2:F5</xm:sqref>
        </x14:dataValidation>
        <x14:dataValidation type="date" errorStyle="warning" operator="greaterThan" allowBlank="1" showInputMessage="1" showErrorMessage="1" errorTitle="Is de datum juist?" error="Is de datum juist ingevoerd? " xr:uid="{58E849FE-6F13-46C0-A7D6-CAEB095ADFF0}">
          <x14:formula1>
            <xm:f>Basisgegevens!B4</xm:f>
          </x14:formula1>
          <xm:sqref>G2</xm:sqref>
        </x14:dataValidation>
        <x14:dataValidation type="date" errorStyle="warning" operator="greaterThan" allowBlank="1" showInputMessage="1" showErrorMessage="1" errorTitle="Is de datum juist?" error="Is de datum juist ingevoerd? " xr:uid="{2C3E8FA6-F8E0-49F7-8F6B-85CE8724F855}">
          <x14:formula1>
            <xm:f>Basisgegevens!B4</xm:f>
          </x14:formula1>
          <xm:sqref>G3</xm:sqref>
        </x14:dataValidation>
        <x14:dataValidation type="date" errorStyle="warning" operator="greaterThan" allowBlank="1" showInputMessage="1" showErrorMessage="1" errorTitle="Is de datum juist?" error="Is de datum juist ingevoerd? " xr:uid="{30A29698-1B95-445C-B3CA-3309C14B54B6}">
          <x14:formula1>
            <xm:f>Basisgegevens!B4</xm:f>
          </x14:formula1>
          <xm:sqref>G4</xm:sqref>
        </x14:dataValidation>
        <x14:dataValidation type="date" errorStyle="warning" operator="greaterThan" allowBlank="1" showInputMessage="1" showErrorMessage="1" errorTitle="Is de datum juist?" error="Is de datum juist ingevoerd? " xr:uid="{402C778B-61FA-479B-8AAE-07B1E7C1F4F7}">
          <x14:formula1>
            <xm:f>Basisgegevens!B4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AJ47"/>
  <sheetViews>
    <sheetView topLeftCell="A29" workbookViewId="0">
      <selection activeCell="C26" sqref="C26"/>
    </sheetView>
  </sheetViews>
  <sheetFormatPr defaultRowHeight="14.4" x14ac:dyDescent="0.3"/>
  <cols>
    <col min="3" max="3" width="10" bestFit="1" customWidth="1"/>
  </cols>
  <sheetData>
    <row r="1" spans="1:36" ht="18" x14ac:dyDescent="0.3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36" ht="18" x14ac:dyDescent="0.35">
      <c r="A2" s="73" t="s">
        <v>26</v>
      </c>
      <c r="B2" s="74"/>
      <c r="C2" s="74"/>
      <c r="D2" s="74"/>
      <c r="E2" s="74"/>
      <c r="F2" s="74"/>
      <c r="G2" s="74"/>
      <c r="H2" s="74"/>
      <c r="I2" s="25"/>
    </row>
    <row r="3" spans="1:36" x14ac:dyDescent="0.3">
      <c r="A3" s="26"/>
      <c r="B3" s="72"/>
      <c r="C3" s="72"/>
      <c r="E3" s="72" t="s">
        <v>27</v>
      </c>
      <c r="F3" s="72"/>
      <c r="G3" s="72" t="s">
        <v>27</v>
      </c>
      <c r="H3" s="72"/>
      <c r="I3" s="72" t="s">
        <v>27</v>
      </c>
      <c r="J3" s="72"/>
    </row>
    <row r="4" spans="1:36" x14ac:dyDescent="0.3">
      <c r="A4" s="27"/>
      <c r="B4" s="27" t="s">
        <v>0</v>
      </c>
      <c r="C4" s="27" t="s">
        <v>1</v>
      </c>
      <c r="E4" s="71">
        <v>1</v>
      </c>
      <c r="F4" s="71"/>
      <c r="G4" s="71">
        <v>2</v>
      </c>
      <c r="H4" s="71"/>
      <c r="I4" s="71">
        <v>3</v>
      </c>
      <c r="J4" s="71"/>
      <c r="AJ4" t="str">
        <f>IF(ISERROR(VLOOKUP(R4,Loonschaal!$A$8:$E$31,#REF!,FALSE)*AA4*38.75/5*1.32),"",VLOOKUP(R4,Loonschaal!$A$8:$E$31,#REF!,FALSE)*AA4*38.75/5*1.32)</f>
        <v/>
      </c>
    </row>
    <row r="5" spans="1:36" x14ac:dyDescent="0.3">
      <c r="A5" s="27"/>
      <c r="B5" s="27"/>
      <c r="C5" s="27" t="s">
        <v>2</v>
      </c>
      <c r="E5" s="27" t="s">
        <v>0</v>
      </c>
      <c r="F5" s="27" t="s">
        <v>1</v>
      </c>
      <c r="G5" s="27" t="s">
        <v>0</v>
      </c>
      <c r="H5" s="27" t="s">
        <v>1</v>
      </c>
      <c r="I5" s="27" t="s">
        <v>0</v>
      </c>
      <c r="J5" s="27" t="s">
        <v>1</v>
      </c>
    </row>
    <row r="6" spans="1:36" ht="28.8" x14ac:dyDescent="0.3">
      <c r="A6" s="28" t="s">
        <v>28</v>
      </c>
      <c r="B6" s="29">
        <v>44927</v>
      </c>
      <c r="C6" s="29">
        <v>44927</v>
      </c>
    </row>
    <row r="7" spans="1:36" x14ac:dyDescent="0.3">
      <c r="A7" s="2">
        <v>15</v>
      </c>
      <c r="B7" s="5">
        <v>229.18</v>
      </c>
      <c r="C7" s="6">
        <f>ROUNDDOWN(B7/38.75,2)</f>
        <v>5.91</v>
      </c>
      <c r="D7" s="34"/>
    </row>
    <row r="8" spans="1:36" x14ac:dyDescent="0.3">
      <c r="A8" s="2">
        <v>16</v>
      </c>
      <c r="B8" s="5">
        <f>B7</f>
        <v>229.18</v>
      </c>
      <c r="C8" s="6">
        <f t="shared" ref="C8:C47" si="0">ROUNDDOWN(B8/38.75,2)</f>
        <v>5.91</v>
      </c>
      <c r="D8" s="34"/>
    </row>
    <row r="9" spans="1:36" x14ac:dyDescent="0.3">
      <c r="A9" s="2">
        <v>17</v>
      </c>
      <c r="B9" s="5">
        <v>250.77</v>
      </c>
      <c r="C9" s="6">
        <f t="shared" si="0"/>
        <v>6.47</v>
      </c>
      <c r="D9" s="34"/>
    </row>
    <row r="10" spans="1:36" x14ac:dyDescent="0.3">
      <c r="A10" s="2">
        <v>18</v>
      </c>
      <c r="B10" s="5">
        <v>272.33</v>
      </c>
      <c r="C10" s="6">
        <f t="shared" si="0"/>
        <v>7.02</v>
      </c>
      <c r="D10" s="34"/>
    </row>
    <row r="11" spans="1:36" x14ac:dyDescent="0.3">
      <c r="A11" s="2">
        <v>19</v>
      </c>
      <c r="B11" s="5">
        <v>315.5</v>
      </c>
      <c r="C11" s="6">
        <f t="shared" si="0"/>
        <v>8.14</v>
      </c>
      <c r="D11" s="34"/>
    </row>
    <row r="12" spans="1:36" x14ac:dyDescent="0.3">
      <c r="A12" s="2">
        <v>20</v>
      </c>
      <c r="B12" s="5">
        <v>374.51</v>
      </c>
      <c r="C12" s="6">
        <f t="shared" si="0"/>
        <v>9.66</v>
      </c>
      <c r="D12" s="34"/>
    </row>
    <row r="13" spans="1:36" x14ac:dyDescent="0.3">
      <c r="A13" s="2">
        <v>21</v>
      </c>
      <c r="B13" s="5">
        <v>470.57</v>
      </c>
      <c r="C13" s="6">
        <f t="shared" si="0"/>
        <v>12.14</v>
      </c>
      <c r="D13" s="35"/>
      <c r="E13" s="2">
        <v>488.21</v>
      </c>
      <c r="F13" s="6">
        <f>E13/38.75</f>
        <v>12.598967741935484</v>
      </c>
      <c r="G13" s="2">
        <v>505.84</v>
      </c>
      <c r="H13" s="6">
        <f>G13/38.75</f>
        <v>13.053935483870967</v>
      </c>
      <c r="I13" s="2">
        <v>523.48</v>
      </c>
      <c r="J13" s="6">
        <f>I13/38.75</f>
        <v>13.509161290322581</v>
      </c>
    </row>
    <row r="14" spans="1:36" x14ac:dyDescent="0.3">
      <c r="A14" s="2">
        <v>22</v>
      </c>
      <c r="B14" s="5">
        <v>488.21</v>
      </c>
      <c r="C14" s="6">
        <f t="shared" si="0"/>
        <v>12.59</v>
      </c>
      <c r="D14" s="35"/>
      <c r="E14" s="2">
        <v>505.84</v>
      </c>
      <c r="F14" s="6">
        <f>E14/38.75</f>
        <v>13.053935483870967</v>
      </c>
      <c r="G14" s="2">
        <v>523.48</v>
      </c>
      <c r="H14" s="6">
        <f t="shared" ref="H14:H47" si="1">G14/38.75</f>
        <v>13.509161290322581</v>
      </c>
      <c r="I14" s="2">
        <v>523.48</v>
      </c>
      <c r="J14" s="6">
        <f t="shared" ref="J14:J47" si="2">I14/38.75</f>
        <v>13.509161290322581</v>
      </c>
    </row>
    <row r="15" spans="1:36" x14ac:dyDescent="0.3">
      <c r="A15" s="2">
        <v>23</v>
      </c>
      <c r="B15" s="5">
        <v>505.84</v>
      </c>
      <c r="C15" s="6">
        <f t="shared" si="0"/>
        <v>13.05</v>
      </c>
      <c r="D15" s="35"/>
      <c r="E15" s="2">
        <v>523.48</v>
      </c>
      <c r="F15" s="6">
        <f t="shared" ref="F15:F47" si="3">E15/38.75</f>
        <v>13.509161290322581</v>
      </c>
      <c r="G15" s="2">
        <v>523.48</v>
      </c>
      <c r="H15" s="6">
        <f t="shared" si="1"/>
        <v>13.509161290322581</v>
      </c>
      <c r="I15" s="2">
        <v>523.48</v>
      </c>
      <c r="J15" s="6">
        <f t="shared" si="2"/>
        <v>13.509161290322581</v>
      </c>
    </row>
    <row r="16" spans="1:36" x14ac:dyDescent="0.3">
      <c r="A16" s="2">
        <v>24</v>
      </c>
      <c r="B16" s="5">
        <v>505.84</v>
      </c>
      <c r="C16" s="6">
        <f t="shared" si="0"/>
        <v>13.05</v>
      </c>
      <c r="D16" s="35"/>
      <c r="E16" s="2">
        <v>523.48</v>
      </c>
      <c r="F16" s="6">
        <f t="shared" si="3"/>
        <v>13.509161290322581</v>
      </c>
      <c r="G16" s="2">
        <v>523.48</v>
      </c>
      <c r="H16" s="6">
        <f t="shared" si="1"/>
        <v>13.509161290322581</v>
      </c>
      <c r="I16" s="2">
        <v>523.48</v>
      </c>
      <c r="J16" s="6">
        <f t="shared" si="2"/>
        <v>13.509161290322581</v>
      </c>
    </row>
    <row r="17" spans="1:10" x14ac:dyDescent="0.3">
      <c r="A17" s="2">
        <v>25</v>
      </c>
      <c r="B17" s="5">
        <v>505.84</v>
      </c>
      <c r="C17" s="6">
        <f t="shared" si="0"/>
        <v>13.05</v>
      </c>
      <c r="D17" s="35"/>
      <c r="E17" s="2">
        <v>523.48</v>
      </c>
      <c r="F17" s="6">
        <f t="shared" si="3"/>
        <v>13.509161290322581</v>
      </c>
      <c r="G17" s="2">
        <v>523.48</v>
      </c>
      <c r="H17" s="6">
        <f t="shared" si="1"/>
        <v>13.509161290322581</v>
      </c>
      <c r="I17" s="2">
        <v>523.48</v>
      </c>
      <c r="J17" s="6">
        <f t="shared" si="2"/>
        <v>13.509161290322581</v>
      </c>
    </row>
    <row r="18" spans="1:10" x14ac:dyDescent="0.3">
      <c r="A18" s="2">
        <v>26</v>
      </c>
      <c r="B18" s="5">
        <v>505.84</v>
      </c>
      <c r="C18" s="6">
        <f t="shared" si="0"/>
        <v>13.05</v>
      </c>
      <c r="D18" s="35"/>
      <c r="E18" s="2">
        <v>523.48</v>
      </c>
      <c r="F18" s="6">
        <f t="shared" si="3"/>
        <v>13.509161290322581</v>
      </c>
      <c r="G18" s="2">
        <v>523.48</v>
      </c>
      <c r="H18" s="6">
        <f t="shared" si="1"/>
        <v>13.509161290322581</v>
      </c>
      <c r="I18" s="2">
        <v>523.48</v>
      </c>
      <c r="J18" s="6">
        <f t="shared" si="2"/>
        <v>13.509161290322581</v>
      </c>
    </row>
    <row r="19" spans="1:10" x14ac:dyDescent="0.3">
      <c r="A19" s="2">
        <v>27</v>
      </c>
      <c r="B19" s="5">
        <v>505.84</v>
      </c>
      <c r="C19" s="6">
        <f t="shared" si="0"/>
        <v>13.05</v>
      </c>
      <c r="D19" s="35"/>
      <c r="E19" s="2">
        <v>523.48</v>
      </c>
      <c r="F19" s="6">
        <f t="shared" si="3"/>
        <v>13.509161290322581</v>
      </c>
      <c r="G19" s="2">
        <v>523.48</v>
      </c>
      <c r="H19" s="6">
        <f t="shared" si="1"/>
        <v>13.509161290322581</v>
      </c>
      <c r="I19" s="2">
        <v>523.48</v>
      </c>
      <c r="J19" s="6">
        <f t="shared" si="2"/>
        <v>13.509161290322581</v>
      </c>
    </row>
    <row r="20" spans="1:10" x14ac:dyDescent="0.3">
      <c r="A20" s="2">
        <v>28</v>
      </c>
      <c r="B20" s="5">
        <v>505.84</v>
      </c>
      <c r="C20" s="6">
        <f t="shared" si="0"/>
        <v>13.05</v>
      </c>
      <c r="D20" s="35"/>
      <c r="E20" s="2">
        <v>523.48</v>
      </c>
      <c r="F20" s="6">
        <f t="shared" si="3"/>
        <v>13.509161290322581</v>
      </c>
      <c r="G20" s="2">
        <v>523.48</v>
      </c>
      <c r="H20" s="6">
        <f t="shared" si="1"/>
        <v>13.509161290322581</v>
      </c>
      <c r="I20" s="2">
        <v>523.48</v>
      </c>
      <c r="J20" s="6">
        <f t="shared" si="2"/>
        <v>13.509161290322581</v>
      </c>
    </row>
    <row r="21" spans="1:10" x14ac:dyDescent="0.3">
      <c r="A21" s="2">
        <v>29</v>
      </c>
      <c r="B21" s="5">
        <v>505.84</v>
      </c>
      <c r="C21" s="6">
        <f t="shared" si="0"/>
        <v>13.05</v>
      </c>
      <c r="D21" s="35"/>
      <c r="E21" s="2">
        <v>523.48</v>
      </c>
      <c r="F21" s="6">
        <f t="shared" si="3"/>
        <v>13.509161290322581</v>
      </c>
      <c r="G21" s="2">
        <v>523.48</v>
      </c>
      <c r="H21" s="6">
        <f t="shared" si="1"/>
        <v>13.509161290322581</v>
      </c>
      <c r="I21" s="2">
        <v>523.48</v>
      </c>
      <c r="J21" s="6">
        <f t="shared" si="2"/>
        <v>13.509161290322581</v>
      </c>
    </row>
    <row r="22" spans="1:10" x14ac:dyDescent="0.3">
      <c r="A22" s="2">
        <v>30</v>
      </c>
      <c r="B22" s="5">
        <v>505.84</v>
      </c>
      <c r="C22" s="6">
        <f t="shared" si="0"/>
        <v>13.05</v>
      </c>
      <c r="D22" s="35"/>
      <c r="E22" s="2">
        <v>523.48</v>
      </c>
      <c r="F22" s="6">
        <f t="shared" si="3"/>
        <v>13.509161290322581</v>
      </c>
      <c r="G22" s="2">
        <v>523.48</v>
      </c>
      <c r="H22" s="6">
        <f t="shared" si="1"/>
        <v>13.509161290322581</v>
      </c>
      <c r="I22" s="2">
        <v>523.48</v>
      </c>
      <c r="J22" s="6">
        <f t="shared" si="2"/>
        <v>13.509161290322581</v>
      </c>
    </row>
    <row r="23" spans="1:10" x14ac:dyDescent="0.3">
      <c r="A23" s="2">
        <v>31</v>
      </c>
      <c r="B23" s="5">
        <v>505.84</v>
      </c>
      <c r="C23" s="6">
        <f t="shared" si="0"/>
        <v>13.05</v>
      </c>
      <c r="D23" s="35"/>
      <c r="E23" s="2">
        <v>523.48</v>
      </c>
      <c r="F23" s="6">
        <f t="shared" si="3"/>
        <v>13.509161290322581</v>
      </c>
      <c r="G23" s="2">
        <v>523.48</v>
      </c>
      <c r="H23" s="6">
        <f t="shared" si="1"/>
        <v>13.509161290322581</v>
      </c>
      <c r="I23" s="2">
        <v>523.48</v>
      </c>
      <c r="J23" s="6">
        <f t="shared" si="2"/>
        <v>13.509161290322581</v>
      </c>
    </row>
    <row r="24" spans="1:10" x14ac:dyDescent="0.3">
      <c r="A24" s="2">
        <v>32</v>
      </c>
      <c r="B24" s="5">
        <v>505.84</v>
      </c>
      <c r="C24" s="6">
        <f t="shared" si="0"/>
        <v>13.05</v>
      </c>
      <c r="D24" s="35"/>
      <c r="E24" s="2">
        <v>523.48</v>
      </c>
      <c r="F24" s="6">
        <f t="shared" si="3"/>
        <v>13.509161290322581</v>
      </c>
      <c r="G24" s="2">
        <v>523.48</v>
      </c>
      <c r="H24" s="6">
        <f t="shared" si="1"/>
        <v>13.509161290322581</v>
      </c>
      <c r="I24" s="2">
        <v>523.48</v>
      </c>
      <c r="J24" s="6">
        <f t="shared" si="2"/>
        <v>13.509161290322581</v>
      </c>
    </row>
    <row r="25" spans="1:10" x14ac:dyDescent="0.3">
      <c r="A25" s="2">
        <v>33</v>
      </c>
      <c r="B25" s="5">
        <v>505.84</v>
      </c>
      <c r="C25" s="6">
        <f t="shared" si="0"/>
        <v>13.05</v>
      </c>
      <c r="D25" s="35"/>
      <c r="E25" s="2">
        <v>523.48</v>
      </c>
      <c r="F25" s="6">
        <f t="shared" si="3"/>
        <v>13.509161290322581</v>
      </c>
      <c r="G25" s="2">
        <v>523.48</v>
      </c>
      <c r="H25" s="6">
        <f t="shared" si="1"/>
        <v>13.509161290322581</v>
      </c>
      <c r="I25" s="2">
        <v>523.48</v>
      </c>
      <c r="J25" s="6">
        <f t="shared" si="2"/>
        <v>13.509161290322581</v>
      </c>
    </row>
    <row r="26" spans="1:10" x14ac:dyDescent="0.3">
      <c r="A26" s="2">
        <v>34</v>
      </c>
      <c r="B26" s="5">
        <v>505.84</v>
      </c>
      <c r="C26" s="6">
        <f t="shared" si="0"/>
        <v>13.05</v>
      </c>
      <c r="D26" s="35"/>
      <c r="E26" s="2">
        <v>523.48</v>
      </c>
      <c r="F26" s="6">
        <f t="shared" si="3"/>
        <v>13.509161290322581</v>
      </c>
      <c r="G26" s="2">
        <v>523.48</v>
      </c>
      <c r="H26" s="6">
        <f t="shared" si="1"/>
        <v>13.509161290322581</v>
      </c>
      <c r="I26" s="2">
        <v>523.48</v>
      </c>
      <c r="J26" s="6">
        <f t="shared" si="2"/>
        <v>13.509161290322581</v>
      </c>
    </row>
    <row r="27" spans="1:10" x14ac:dyDescent="0.3">
      <c r="A27" s="2">
        <v>35</v>
      </c>
      <c r="B27" s="5">
        <v>505.84</v>
      </c>
      <c r="C27" s="6">
        <f t="shared" si="0"/>
        <v>13.05</v>
      </c>
      <c r="D27" s="35"/>
      <c r="E27" s="2">
        <v>523.48</v>
      </c>
      <c r="F27" s="6">
        <f t="shared" si="3"/>
        <v>13.509161290322581</v>
      </c>
      <c r="G27" s="2">
        <v>523.48</v>
      </c>
      <c r="H27" s="6">
        <f t="shared" si="1"/>
        <v>13.509161290322581</v>
      </c>
      <c r="I27" s="2">
        <v>523.48</v>
      </c>
      <c r="J27" s="6">
        <f t="shared" si="2"/>
        <v>13.509161290322581</v>
      </c>
    </row>
    <row r="28" spans="1:10" x14ac:dyDescent="0.3">
      <c r="A28" s="2">
        <v>36</v>
      </c>
      <c r="B28" s="5">
        <v>505.84</v>
      </c>
      <c r="C28" s="6">
        <f t="shared" si="0"/>
        <v>13.05</v>
      </c>
      <c r="D28" s="35"/>
      <c r="E28" s="2">
        <v>523.48</v>
      </c>
      <c r="F28" s="6">
        <f t="shared" si="3"/>
        <v>13.509161290322581</v>
      </c>
      <c r="G28" s="2">
        <v>523.48</v>
      </c>
      <c r="H28" s="6">
        <f t="shared" si="1"/>
        <v>13.509161290322581</v>
      </c>
      <c r="I28" s="2">
        <v>523.48</v>
      </c>
      <c r="J28" s="6">
        <f t="shared" si="2"/>
        <v>13.509161290322581</v>
      </c>
    </row>
    <row r="29" spans="1:10" x14ac:dyDescent="0.3">
      <c r="A29" s="2">
        <v>37</v>
      </c>
      <c r="B29" s="5">
        <v>505.84</v>
      </c>
      <c r="C29" s="6">
        <f t="shared" si="0"/>
        <v>13.05</v>
      </c>
      <c r="D29" s="35"/>
      <c r="E29" s="2">
        <v>523.48</v>
      </c>
      <c r="F29" s="6">
        <f t="shared" si="3"/>
        <v>13.509161290322581</v>
      </c>
      <c r="G29" s="2">
        <v>523.48</v>
      </c>
      <c r="H29" s="6">
        <f t="shared" si="1"/>
        <v>13.509161290322581</v>
      </c>
      <c r="I29" s="2">
        <v>523.48</v>
      </c>
      <c r="J29" s="6">
        <f t="shared" si="2"/>
        <v>13.509161290322581</v>
      </c>
    </row>
    <row r="30" spans="1:10" x14ac:dyDescent="0.3">
      <c r="A30" s="2">
        <v>38</v>
      </c>
      <c r="B30" s="5">
        <v>505.84</v>
      </c>
      <c r="C30" s="6">
        <f t="shared" si="0"/>
        <v>13.05</v>
      </c>
      <c r="D30" s="35"/>
      <c r="E30" s="2">
        <v>523.48</v>
      </c>
      <c r="F30" s="6">
        <f t="shared" si="3"/>
        <v>13.509161290322581</v>
      </c>
      <c r="G30" s="2">
        <v>523.48</v>
      </c>
      <c r="H30" s="6">
        <f t="shared" si="1"/>
        <v>13.509161290322581</v>
      </c>
      <c r="I30" s="2">
        <v>523.48</v>
      </c>
      <c r="J30" s="6">
        <f t="shared" si="2"/>
        <v>13.509161290322581</v>
      </c>
    </row>
    <row r="31" spans="1:10" x14ac:dyDescent="0.3">
      <c r="A31" s="2">
        <v>39</v>
      </c>
      <c r="B31" s="5">
        <v>505.84</v>
      </c>
      <c r="C31" s="6">
        <f t="shared" si="0"/>
        <v>13.05</v>
      </c>
      <c r="D31" s="35"/>
      <c r="E31" s="2">
        <v>523.48</v>
      </c>
      <c r="F31" s="6">
        <f t="shared" si="3"/>
        <v>13.509161290322581</v>
      </c>
      <c r="G31" s="2">
        <v>523.48</v>
      </c>
      <c r="H31" s="6">
        <f t="shared" si="1"/>
        <v>13.509161290322581</v>
      </c>
      <c r="I31" s="2">
        <v>523.48</v>
      </c>
      <c r="J31" s="6">
        <f t="shared" si="2"/>
        <v>13.509161290322581</v>
      </c>
    </row>
    <row r="32" spans="1:10" x14ac:dyDescent="0.3">
      <c r="A32" s="2">
        <v>40</v>
      </c>
      <c r="B32" s="5">
        <v>505.84</v>
      </c>
      <c r="C32" s="6">
        <f t="shared" si="0"/>
        <v>13.05</v>
      </c>
      <c r="D32" s="35"/>
      <c r="E32" s="2">
        <v>523.48</v>
      </c>
      <c r="F32" s="6">
        <f t="shared" si="3"/>
        <v>13.509161290322581</v>
      </c>
      <c r="G32" s="2">
        <v>523.48</v>
      </c>
      <c r="H32" s="6">
        <f t="shared" si="1"/>
        <v>13.509161290322581</v>
      </c>
      <c r="I32" s="2">
        <v>523.48</v>
      </c>
      <c r="J32" s="6">
        <f t="shared" si="2"/>
        <v>13.509161290322581</v>
      </c>
    </row>
    <row r="33" spans="1:10" x14ac:dyDescent="0.3">
      <c r="A33" s="2">
        <v>41</v>
      </c>
      <c r="B33" s="5">
        <v>505.84</v>
      </c>
      <c r="C33" s="6">
        <f t="shared" si="0"/>
        <v>13.05</v>
      </c>
      <c r="D33" s="35"/>
      <c r="E33" s="2">
        <v>523.48</v>
      </c>
      <c r="F33" s="6">
        <f t="shared" si="3"/>
        <v>13.509161290322581</v>
      </c>
      <c r="G33" s="2">
        <v>523.48</v>
      </c>
      <c r="H33" s="6">
        <f t="shared" si="1"/>
        <v>13.509161290322581</v>
      </c>
      <c r="I33" s="2">
        <v>523.48</v>
      </c>
      <c r="J33" s="6">
        <f t="shared" si="2"/>
        <v>13.509161290322581</v>
      </c>
    </row>
    <row r="34" spans="1:10" x14ac:dyDescent="0.3">
      <c r="A34" s="2">
        <v>42</v>
      </c>
      <c r="B34" s="5">
        <v>505.84</v>
      </c>
      <c r="C34" s="6">
        <f t="shared" si="0"/>
        <v>13.05</v>
      </c>
      <c r="D34" s="35"/>
      <c r="E34" s="2">
        <v>523.48</v>
      </c>
      <c r="F34" s="6">
        <f t="shared" si="3"/>
        <v>13.509161290322581</v>
      </c>
      <c r="G34" s="2">
        <v>523.48</v>
      </c>
      <c r="H34" s="6">
        <f t="shared" si="1"/>
        <v>13.509161290322581</v>
      </c>
      <c r="I34" s="2">
        <v>523.48</v>
      </c>
      <c r="J34" s="6">
        <f t="shared" si="2"/>
        <v>13.509161290322581</v>
      </c>
    </row>
    <row r="35" spans="1:10" x14ac:dyDescent="0.3">
      <c r="A35" s="2">
        <v>43</v>
      </c>
      <c r="B35" s="5">
        <v>505.84</v>
      </c>
      <c r="C35" s="6">
        <f t="shared" si="0"/>
        <v>13.05</v>
      </c>
      <c r="D35" s="35"/>
      <c r="E35" s="2">
        <v>523.48</v>
      </c>
      <c r="F35" s="6">
        <f t="shared" si="3"/>
        <v>13.509161290322581</v>
      </c>
      <c r="G35" s="2">
        <v>523.48</v>
      </c>
      <c r="H35" s="6">
        <f t="shared" si="1"/>
        <v>13.509161290322581</v>
      </c>
      <c r="I35" s="2">
        <v>523.48</v>
      </c>
      <c r="J35" s="6">
        <f t="shared" si="2"/>
        <v>13.509161290322581</v>
      </c>
    </row>
    <row r="36" spans="1:10" x14ac:dyDescent="0.3">
      <c r="A36" s="2">
        <v>44</v>
      </c>
      <c r="B36" s="5">
        <v>505.84</v>
      </c>
      <c r="C36" s="6">
        <f t="shared" si="0"/>
        <v>13.05</v>
      </c>
      <c r="D36" s="35"/>
      <c r="E36" s="2">
        <v>523.48</v>
      </c>
      <c r="F36" s="6">
        <f t="shared" si="3"/>
        <v>13.509161290322581</v>
      </c>
      <c r="G36" s="2">
        <v>523.48</v>
      </c>
      <c r="H36" s="6">
        <f t="shared" si="1"/>
        <v>13.509161290322581</v>
      </c>
      <c r="I36" s="2">
        <v>523.48</v>
      </c>
      <c r="J36" s="6">
        <f t="shared" si="2"/>
        <v>13.509161290322581</v>
      </c>
    </row>
    <row r="37" spans="1:10" x14ac:dyDescent="0.3">
      <c r="A37" s="2">
        <v>45</v>
      </c>
      <c r="B37" s="5">
        <v>505.84</v>
      </c>
      <c r="C37" s="6">
        <f t="shared" si="0"/>
        <v>13.05</v>
      </c>
      <c r="D37" s="35"/>
      <c r="E37" s="2">
        <v>523.48</v>
      </c>
      <c r="F37" s="6">
        <f t="shared" si="3"/>
        <v>13.509161290322581</v>
      </c>
      <c r="G37" s="2">
        <v>523.48</v>
      </c>
      <c r="H37" s="6">
        <f t="shared" si="1"/>
        <v>13.509161290322581</v>
      </c>
      <c r="I37" s="2">
        <v>523.48</v>
      </c>
      <c r="J37" s="6">
        <f t="shared" si="2"/>
        <v>13.509161290322581</v>
      </c>
    </row>
    <row r="38" spans="1:10" x14ac:dyDescent="0.3">
      <c r="A38" s="2">
        <v>46</v>
      </c>
      <c r="B38" s="5">
        <v>505.84</v>
      </c>
      <c r="C38" s="6">
        <f t="shared" si="0"/>
        <v>13.05</v>
      </c>
      <c r="D38" s="35"/>
      <c r="E38" s="2">
        <v>523.48</v>
      </c>
      <c r="F38" s="6">
        <f t="shared" si="3"/>
        <v>13.509161290322581</v>
      </c>
      <c r="G38" s="2">
        <v>523.48</v>
      </c>
      <c r="H38" s="6">
        <f t="shared" si="1"/>
        <v>13.509161290322581</v>
      </c>
      <c r="I38" s="2">
        <v>523.48</v>
      </c>
      <c r="J38" s="6">
        <f t="shared" si="2"/>
        <v>13.509161290322581</v>
      </c>
    </row>
    <row r="39" spans="1:10" x14ac:dyDescent="0.3">
      <c r="A39" s="2">
        <v>47</v>
      </c>
      <c r="B39" s="5">
        <v>505.84</v>
      </c>
      <c r="C39" s="6">
        <f t="shared" si="0"/>
        <v>13.05</v>
      </c>
      <c r="D39" s="35"/>
      <c r="E39" s="2">
        <v>523.48</v>
      </c>
      <c r="F39" s="6">
        <f t="shared" si="3"/>
        <v>13.509161290322581</v>
      </c>
      <c r="G39" s="2">
        <v>523.48</v>
      </c>
      <c r="H39" s="6">
        <f t="shared" si="1"/>
        <v>13.509161290322581</v>
      </c>
      <c r="I39" s="2">
        <v>523.48</v>
      </c>
      <c r="J39" s="6">
        <f t="shared" si="2"/>
        <v>13.509161290322581</v>
      </c>
    </row>
    <row r="40" spans="1:10" x14ac:dyDescent="0.3">
      <c r="A40" s="2">
        <v>48</v>
      </c>
      <c r="B40" s="5">
        <v>505.84</v>
      </c>
      <c r="C40" s="6">
        <f t="shared" si="0"/>
        <v>13.05</v>
      </c>
      <c r="D40" s="35"/>
      <c r="E40" s="2">
        <v>523.48</v>
      </c>
      <c r="F40" s="6">
        <f t="shared" si="3"/>
        <v>13.509161290322581</v>
      </c>
      <c r="G40" s="2">
        <v>523.48</v>
      </c>
      <c r="H40" s="6">
        <f t="shared" si="1"/>
        <v>13.509161290322581</v>
      </c>
      <c r="I40" s="2">
        <v>523.48</v>
      </c>
      <c r="J40" s="6">
        <f t="shared" si="2"/>
        <v>13.509161290322581</v>
      </c>
    </row>
    <row r="41" spans="1:10" x14ac:dyDescent="0.3">
      <c r="A41" s="2">
        <v>49</v>
      </c>
      <c r="B41" s="5">
        <v>505.84</v>
      </c>
      <c r="C41" s="6">
        <f t="shared" si="0"/>
        <v>13.05</v>
      </c>
      <c r="D41" s="35"/>
      <c r="E41" s="2">
        <v>523.48</v>
      </c>
      <c r="F41" s="6">
        <f t="shared" si="3"/>
        <v>13.509161290322581</v>
      </c>
      <c r="G41" s="2">
        <v>523.48</v>
      </c>
      <c r="H41" s="6">
        <f t="shared" si="1"/>
        <v>13.509161290322581</v>
      </c>
      <c r="I41" s="2">
        <v>523.48</v>
      </c>
      <c r="J41" s="6">
        <f t="shared" si="2"/>
        <v>13.509161290322581</v>
      </c>
    </row>
    <row r="42" spans="1:10" x14ac:dyDescent="0.3">
      <c r="A42" s="2">
        <v>50</v>
      </c>
      <c r="B42" s="5">
        <v>505.84</v>
      </c>
      <c r="C42" s="6">
        <f t="shared" si="0"/>
        <v>13.05</v>
      </c>
      <c r="D42" s="35"/>
      <c r="E42" s="2">
        <v>523.48</v>
      </c>
      <c r="F42" s="6">
        <f t="shared" si="3"/>
        <v>13.509161290322581</v>
      </c>
      <c r="G42" s="2">
        <v>523.48</v>
      </c>
      <c r="H42" s="6">
        <f t="shared" si="1"/>
        <v>13.509161290322581</v>
      </c>
      <c r="I42" s="2">
        <v>523.48</v>
      </c>
      <c r="J42" s="6">
        <f t="shared" si="2"/>
        <v>13.509161290322581</v>
      </c>
    </row>
    <row r="43" spans="1:10" x14ac:dyDescent="0.3">
      <c r="A43" s="2">
        <v>51</v>
      </c>
      <c r="B43" s="5">
        <v>505.84</v>
      </c>
      <c r="C43" s="6">
        <f t="shared" si="0"/>
        <v>13.05</v>
      </c>
      <c r="D43" s="35"/>
      <c r="E43" s="2">
        <v>523.48</v>
      </c>
      <c r="F43" s="6">
        <f t="shared" si="3"/>
        <v>13.509161290322581</v>
      </c>
      <c r="G43" s="2">
        <v>523.48</v>
      </c>
      <c r="H43" s="6">
        <f t="shared" si="1"/>
        <v>13.509161290322581</v>
      </c>
      <c r="I43" s="2">
        <v>523.48</v>
      </c>
      <c r="J43" s="6">
        <f t="shared" si="2"/>
        <v>13.509161290322581</v>
      </c>
    </row>
    <row r="44" spans="1:10" x14ac:dyDescent="0.3">
      <c r="A44" s="2">
        <v>52</v>
      </c>
      <c r="B44" s="5">
        <v>505.84</v>
      </c>
      <c r="C44" s="6">
        <f t="shared" si="0"/>
        <v>13.05</v>
      </c>
      <c r="D44" s="35"/>
      <c r="E44" s="2">
        <v>523.48</v>
      </c>
      <c r="F44" s="6">
        <f t="shared" si="3"/>
        <v>13.509161290322581</v>
      </c>
      <c r="G44" s="2">
        <v>523.48</v>
      </c>
      <c r="H44" s="6">
        <f t="shared" si="1"/>
        <v>13.509161290322581</v>
      </c>
      <c r="I44" s="2">
        <v>523.48</v>
      </c>
      <c r="J44" s="6">
        <f t="shared" si="2"/>
        <v>13.509161290322581</v>
      </c>
    </row>
    <row r="45" spans="1:10" x14ac:dyDescent="0.3">
      <c r="A45" s="2">
        <v>53</v>
      </c>
      <c r="B45" s="5">
        <v>505.84</v>
      </c>
      <c r="C45" s="6">
        <f t="shared" si="0"/>
        <v>13.05</v>
      </c>
      <c r="D45" s="35"/>
      <c r="E45" s="2">
        <v>523.48</v>
      </c>
      <c r="F45" s="6">
        <f t="shared" si="3"/>
        <v>13.509161290322581</v>
      </c>
      <c r="G45" s="2">
        <v>523.48</v>
      </c>
      <c r="H45" s="6">
        <f t="shared" si="1"/>
        <v>13.509161290322581</v>
      </c>
      <c r="I45" s="2">
        <v>523.48</v>
      </c>
      <c r="J45" s="6">
        <f t="shared" si="2"/>
        <v>13.509161290322581</v>
      </c>
    </row>
    <row r="46" spans="1:10" x14ac:dyDescent="0.3">
      <c r="A46" s="2">
        <v>54</v>
      </c>
      <c r="B46" s="5">
        <v>505.84</v>
      </c>
      <c r="C46" s="6">
        <f t="shared" si="0"/>
        <v>13.05</v>
      </c>
      <c r="D46" s="35"/>
      <c r="E46" s="2">
        <v>523.48</v>
      </c>
      <c r="F46" s="6">
        <f t="shared" si="3"/>
        <v>13.509161290322581</v>
      </c>
      <c r="G46" s="2">
        <v>523.48</v>
      </c>
      <c r="H46" s="6">
        <f t="shared" si="1"/>
        <v>13.509161290322581</v>
      </c>
      <c r="I46" s="2">
        <v>523.48</v>
      </c>
      <c r="J46" s="6">
        <f t="shared" si="2"/>
        <v>13.509161290322581</v>
      </c>
    </row>
    <row r="47" spans="1:10" x14ac:dyDescent="0.3">
      <c r="A47" s="2">
        <v>55</v>
      </c>
      <c r="B47" s="5">
        <v>505.84</v>
      </c>
      <c r="C47" s="6">
        <f t="shared" si="0"/>
        <v>13.05</v>
      </c>
      <c r="D47" s="36"/>
      <c r="E47" s="2">
        <v>523.48</v>
      </c>
      <c r="F47" s="6">
        <f t="shared" si="3"/>
        <v>13.509161290322581</v>
      </c>
      <c r="G47" s="2">
        <v>523.48</v>
      </c>
      <c r="H47" s="6">
        <f t="shared" si="1"/>
        <v>13.509161290322581</v>
      </c>
      <c r="I47" s="2">
        <v>523.48</v>
      </c>
      <c r="J47" s="6">
        <f t="shared" si="2"/>
        <v>13.509161290322581</v>
      </c>
    </row>
  </sheetData>
  <mergeCells count="9">
    <mergeCell ref="A1:Q1"/>
    <mergeCell ref="E4:F4"/>
    <mergeCell ref="G4:H4"/>
    <mergeCell ref="I3:J3"/>
    <mergeCell ref="I4:J4"/>
    <mergeCell ref="A2:H2"/>
    <mergeCell ref="B3:C3"/>
    <mergeCell ref="E3:F3"/>
    <mergeCell ref="G3:H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"/>
  <sheetViews>
    <sheetView workbookViewId="0">
      <selection activeCell="B4" sqref="B4"/>
    </sheetView>
  </sheetViews>
  <sheetFormatPr defaultRowHeight="14.4" x14ac:dyDescent="0.3"/>
  <cols>
    <col min="1" max="1" width="23.88671875" bestFit="1" customWidth="1"/>
    <col min="2" max="2" width="10.33203125" bestFit="1" customWidth="1"/>
    <col min="3" max="3" width="12.44140625" bestFit="1" customWidth="1"/>
  </cols>
  <sheetData>
    <row r="1" spans="1:3" x14ac:dyDescent="0.3">
      <c r="A1" s="30" t="s">
        <v>7</v>
      </c>
      <c r="B1" s="31">
        <v>44927</v>
      </c>
      <c r="C1" s="7" t="s">
        <v>29</v>
      </c>
    </row>
    <row r="2" spans="1:3" x14ac:dyDescent="0.3">
      <c r="A2" s="30" t="s">
        <v>8</v>
      </c>
      <c r="B2" s="31">
        <v>44562</v>
      </c>
    </row>
    <row r="3" spans="1:3" x14ac:dyDescent="0.3">
      <c r="A3" s="30" t="s">
        <v>22</v>
      </c>
      <c r="B3" s="31">
        <v>44562</v>
      </c>
    </row>
    <row r="4" spans="1:3" x14ac:dyDescent="0.3">
      <c r="A4" s="30" t="s">
        <v>30</v>
      </c>
      <c r="B4" s="31">
        <v>44927</v>
      </c>
    </row>
    <row r="5" spans="1:3" x14ac:dyDescent="0.3">
      <c r="A5" s="30" t="s">
        <v>5</v>
      </c>
      <c r="B5" s="31">
        <v>45291</v>
      </c>
    </row>
    <row r="6" spans="1:3" x14ac:dyDescent="0.3">
      <c r="A6" s="30" t="s">
        <v>12</v>
      </c>
      <c r="B6" s="2">
        <f>DATEDIF(B2,B5,"D")</f>
        <v>729</v>
      </c>
    </row>
    <row r="7" spans="1:3" x14ac:dyDescent="0.3">
      <c r="A7" s="30" t="s">
        <v>13</v>
      </c>
      <c r="B7" s="32">
        <f>B6/7</f>
        <v>104.14285714285714</v>
      </c>
    </row>
    <row r="8" spans="1:3" x14ac:dyDescent="0.3">
      <c r="A8" s="30" t="s">
        <v>14</v>
      </c>
      <c r="B8" s="2">
        <f>CEILING(B7,1)</f>
        <v>105</v>
      </c>
    </row>
    <row r="9" spans="1:3" x14ac:dyDescent="0.3">
      <c r="A9" s="30" t="s">
        <v>15</v>
      </c>
      <c r="B9" s="33">
        <v>3</v>
      </c>
    </row>
    <row r="10" spans="1:3" x14ac:dyDescent="0.3">
      <c r="A10" s="30" t="s">
        <v>18</v>
      </c>
      <c r="B10" s="33">
        <v>25</v>
      </c>
    </row>
  </sheetData>
  <sheetProtection algorithmName="SHA-512" hashValue="X3tvbTw0EN3sS7KtmQINuOm2R4UlpgOYXlVS2s8VsBcMwwQ4ckfe6wiW9k8DIG+XyKCx4+sALCxK5IPhQlkVBQ==" saltValue="Y4aXjF6M7amNmeIqJkEVt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ea0e30-b225-4926-a1ce-e12c92868c44" xsi:nil="true"/>
    <lcf76f155ced4ddcb4097134ff3c332f xmlns="31acfa20-be29-4a4d-bd3f-3d9b16864d5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D6196D5A75844BCBCD878D9A4A765" ma:contentTypeVersion="17" ma:contentTypeDescription="Een nieuw document maken." ma:contentTypeScope="" ma:versionID="2574719b560b596ce7a893db05740a71">
  <xsd:schema xmlns:xsd="http://www.w3.org/2001/XMLSchema" xmlns:xs="http://www.w3.org/2001/XMLSchema" xmlns:p="http://schemas.microsoft.com/office/2006/metadata/properties" xmlns:ns2="b8ea0e30-b225-4926-a1ce-e12c92868c44" xmlns:ns3="31acfa20-be29-4a4d-bd3f-3d9b16864d5b" targetNamespace="http://schemas.microsoft.com/office/2006/metadata/properties" ma:root="true" ma:fieldsID="3e90ac5d2a6291191df62d1e100d3b28" ns2:_="" ns3:_="">
    <xsd:import namespace="b8ea0e30-b225-4926-a1ce-e12c92868c44"/>
    <xsd:import namespace="31acfa20-be29-4a4d-bd3f-3d9b16864d5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a0e30-b225-4926-a1ce-e12c92868c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0a63f0b-39a6-48d5-9f95-726ef5fa84bd}" ma:internalName="TaxCatchAll" ma:showField="CatchAllData" ma:web="b8ea0e30-b225-4926-a1ce-e12c92868c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cfa20-be29-4a4d-bd3f-3d9b16864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bd23ab45-3f60-4d97-bef6-afda273634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CBED87-7F38-473F-B1E9-D3647F4B767D}">
  <ds:schemaRefs>
    <ds:schemaRef ds:uri="http://schemas.microsoft.com/office/2006/metadata/properties"/>
    <ds:schemaRef ds:uri="http://schemas.microsoft.com/office/infopath/2007/PartnerControls"/>
    <ds:schemaRef ds:uri="b8ea0e30-b225-4926-a1ce-e12c92868c44"/>
    <ds:schemaRef ds:uri="31acfa20-be29-4a4d-bd3f-3d9b16864d5b"/>
  </ds:schemaRefs>
</ds:datastoreItem>
</file>

<file path=customXml/itemProps2.xml><?xml version="1.0" encoding="utf-8"?>
<ds:datastoreItem xmlns:ds="http://schemas.openxmlformats.org/officeDocument/2006/customXml" ds:itemID="{1B83F856-273F-4DCB-AC62-D688E37F5C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07A3F2-7B86-4A4F-9A09-4BDF803152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leerlinggegevens</vt:lpstr>
      <vt:lpstr>Loonschaal</vt:lpstr>
      <vt:lpstr>Basisgegevens</vt:lpstr>
      <vt:lpstr>leerlinggegevens!Afdrukbereik</vt:lpstr>
      <vt:lpstr>leerlinggegevens!Afdruktitels</vt:lpstr>
    </vt:vector>
  </TitlesOfParts>
  <Company>SSWM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 Verbeek | Expertisecentrum Meubel</dc:creator>
  <cp:lastModifiedBy>Joost Verbeek | Expertisecentrum Meubel</cp:lastModifiedBy>
  <cp:lastPrinted>2022-06-20T10:44:05Z</cp:lastPrinted>
  <dcterms:created xsi:type="dcterms:W3CDTF">2016-09-14T13:43:21Z</dcterms:created>
  <dcterms:modified xsi:type="dcterms:W3CDTF">2023-11-01T14:03:09Z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0x0101007C2D6196D5A75844BCBCD878D9A4A765</vt:lpwstr>
  </property>
  <property fmtid="{D5CDD505-2E9C-101B-9397-08002B2CF9AE}" pid="3" name="MediaServiceImageTags">
    <vt:lpwstr/>
  </property>
</Properties>
</file>